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2527"/>
  <workbookPr defaultThemeVersion="166925"/>
  <mc:AlternateContent xmlns:mc="http://schemas.openxmlformats.org/markup-compatibility/2006">
    <mc:Choice Requires="x15">
      <x15ac:absPath xmlns:x15ac="http://schemas.microsoft.com/office/spreadsheetml/2010/11/ac" url="C:\Users\Tent\Desktop\"/>
    </mc:Choice>
  </mc:AlternateContent>
  <xr:revisionPtr revIDLastSave="0" documentId="13_ncr:1_{3CE8ACAD-4FA3-4E25-AE11-D64BA1560D1C}" xr6:coauthVersionLast="45" xr6:coauthVersionMax="45" xr10:uidLastSave="{00000000-0000-0000-0000-000000000000}"/>
  <bookViews>
    <workbookView xWindow="-120" yWindow="-120" windowWidth="20730" windowHeight="11160" tabRatio="202" xr2:uid="{F1E9CDC7-6BF3-4296-AA66-5F5C79D323C3}"/>
  </bookViews>
  <sheets>
    <sheet name="Sheet1" sheetId="1" r:id="rId1"/>
  </sheet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5" i="1" l="1"/>
  <c r="G31" i="1" l="1"/>
  <c r="F31" i="1"/>
  <c r="D29" i="1"/>
  <c r="G29" i="1"/>
  <c r="D60" i="1"/>
  <c r="D58" i="1"/>
  <c r="D53" i="1"/>
  <c r="D48" i="1"/>
  <c r="D40" i="1"/>
  <c r="D39" i="1"/>
  <c r="D32" i="1"/>
  <c r="D27" i="1"/>
  <c r="D19" i="1"/>
  <c r="D18" i="1"/>
  <c r="D10" i="1"/>
  <c r="D11" i="1"/>
  <c r="D12" i="1"/>
  <c r="D13" i="1"/>
  <c r="D14" i="1"/>
  <c r="D15" i="1"/>
  <c r="D9" i="1"/>
  <c r="D2" i="1"/>
  <c r="D3" i="1"/>
  <c r="D4" i="1"/>
  <c r="D5" i="1"/>
  <c r="D6" i="1"/>
  <c r="D7" i="1"/>
  <c r="G2" i="1"/>
  <c r="G9" i="1"/>
  <c r="G13" i="1"/>
  <c r="G12" i="1"/>
  <c r="G19" i="1"/>
  <c r="G27" i="1"/>
  <c r="G30" i="1"/>
  <c r="G32" i="1"/>
  <c r="G33" i="1"/>
  <c r="G34" i="1"/>
  <c r="G40" i="1"/>
  <c r="G42" i="1"/>
  <c r="G43" i="1"/>
  <c r="G44" i="1"/>
  <c r="G48" i="1"/>
  <c r="G51" i="1"/>
  <c r="F51" i="1"/>
  <c r="G53" i="1"/>
  <c r="G54" i="1"/>
  <c r="G55" i="1"/>
  <c r="G57" i="1"/>
  <c r="G59" i="1"/>
  <c r="G60" i="1"/>
  <c r="G58" i="1"/>
  <c r="F58" i="1"/>
  <c r="M12" i="1"/>
  <c r="F52" i="1"/>
  <c r="M11" i="1"/>
  <c r="G24" i="1"/>
  <c r="F24" i="1"/>
  <c r="M14" i="1"/>
  <c r="G11" i="1" s="1"/>
  <c r="F11" i="1" s="1"/>
  <c r="G15" i="1"/>
  <c r="F15" i="1" s="1"/>
  <c r="G56" i="1"/>
  <c r="F56" i="1"/>
  <c r="F49" i="1"/>
  <c r="G49" i="1"/>
  <c r="F7" i="1"/>
  <c r="G7" i="1"/>
  <c r="M13" i="1"/>
  <c r="M10" i="1"/>
  <c r="F4" i="1"/>
  <c r="F46" i="1"/>
  <c r="F47" i="1"/>
  <c r="F45" i="1"/>
  <c r="F41" i="1"/>
  <c r="F39" i="1"/>
  <c r="F28" i="1"/>
  <c r="F26" i="1"/>
  <c r="F21" i="1"/>
  <c r="F22" i="1"/>
  <c r="F23" i="1"/>
  <c r="F20" i="1"/>
  <c r="F18" i="1"/>
  <c r="F17" i="1"/>
  <c r="F14" i="1"/>
  <c r="F10" i="1"/>
  <c r="F8" i="1"/>
  <c r="F6" i="1"/>
  <c r="F5" i="1"/>
  <c r="F3" i="1"/>
  <c r="M9" i="1"/>
  <c r="M8" i="1" l="1"/>
  <c r="Q5" i="1" l="1"/>
  <c r="Q4" i="1"/>
  <c r="G14" i="1"/>
  <c r="R3" i="1"/>
  <c r="R2" i="1"/>
  <c r="D52" i="1"/>
  <c r="D44" i="1"/>
  <c r="D43" i="1"/>
  <c r="D42" i="1"/>
  <c r="D21" i="1" s="1"/>
  <c r="D56" i="1"/>
  <c r="D46" i="1"/>
  <c r="D45" i="1"/>
  <c r="D31" i="1" s="1"/>
  <c r="D47" i="1"/>
  <c r="D24" i="1" s="1"/>
  <c r="D41" i="1"/>
  <c r="D37" i="1" s="1"/>
  <c r="D38" i="1"/>
  <c r="D34" i="1"/>
  <c r="D23" i="1"/>
  <c r="D30" i="1" l="1"/>
  <c r="D22" i="1"/>
  <c r="D50" i="1"/>
  <c r="D51" i="1" s="1"/>
  <c r="D36" i="1"/>
  <c r="D35" i="1"/>
  <c r="D33" i="1"/>
  <c r="D26" i="1"/>
  <c r="D25" i="1"/>
  <c r="D20" i="1"/>
  <c r="D17" i="1"/>
  <c r="D16" i="1"/>
  <c r="P11" i="1"/>
  <c r="Q11" i="1" s="1"/>
  <c r="O13" i="1" s="1"/>
  <c r="P10" i="1"/>
  <c r="Q10" i="1" s="1"/>
  <c r="O12" i="1" s="1"/>
  <c r="O9" i="1"/>
  <c r="O7" i="1"/>
  <c r="O4" i="1"/>
  <c r="O3" i="1"/>
  <c r="D54" i="1" l="1"/>
  <c r="D57" i="1"/>
  <c r="D59" i="1"/>
  <c r="D55" i="1" s="1"/>
  <c r="O8" i="1"/>
  <c r="N8" i="1" s="1"/>
  <c r="F35" i="1"/>
  <c r="L35" i="1" s="1"/>
  <c r="F36" i="1"/>
  <c r="L36" i="1"/>
</calcChain>
</file>

<file path=xl/sharedStrings.xml><?xml version="1.0" encoding="utf-8"?>
<sst xmlns="http://schemas.openxmlformats.org/spreadsheetml/2006/main" count="164" uniqueCount="94">
  <si>
    <t>شاهی</t>
  </si>
  <si>
    <t>عباسی</t>
  </si>
  <si>
    <t>روم شرقی</t>
  </si>
  <si>
    <t>غزنویان</t>
  </si>
  <si>
    <t>سامانیان</t>
  </si>
  <si>
    <t>صفویان</t>
  </si>
  <si>
    <t>افشاریان</t>
  </si>
  <si>
    <t>10 شاهی</t>
  </si>
  <si>
    <t>تومان</t>
  </si>
  <si>
    <t>قاجار</t>
  </si>
  <si>
    <t>دوره</t>
  </si>
  <si>
    <t>واحد پول</t>
  </si>
  <si>
    <t>ارزش</t>
  </si>
  <si>
    <t>معادل</t>
  </si>
  <si>
    <t>ریال</t>
  </si>
  <si>
    <t>2 محمودی / 4 شاهی</t>
  </si>
  <si>
    <t>نیم صنّار</t>
  </si>
  <si>
    <t>پهلوی</t>
  </si>
  <si>
    <t>5 عباسی / 20 شاهی / یک‌دهم تومان</t>
  </si>
  <si>
    <t>ریال (رویال پرتغالی)</t>
  </si>
  <si>
    <t>حدود یک‌صدم گرم طلا</t>
  </si>
  <si>
    <t>جمهوری اسلامی</t>
  </si>
  <si>
    <t>هخامنشیان</t>
  </si>
  <si>
    <t>دریک</t>
  </si>
  <si>
    <t>گرم طلا</t>
  </si>
  <si>
    <t>یک‌بیستم دریک</t>
  </si>
  <si>
    <t>سیگل (شِکل، سیگلوی)</t>
  </si>
  <si>
    <t>اشرفی</t>
  </si>
  <si>
    <t>دینار</t>
  </si>
  <si>
    <t>حدود یک‌‌هزارم دینار</t>
  </si>
  <si>
    <t>حدود هفت‌صدم گرم طلا / یک قِران</t>
  </si>
  <si>
    <t>سال شمسی</t>
  </si>
  <si>
    <t>درهم</t>
  </si>
  <si>
    <t>اشکانیان</t>
  </si>
  <si>
    <t>دینار (دیناریوس)</t>
  </si>
  <si>
    <t>صنّار (صددینار، محمودی)</t>
  </si>
  <si>
    <t>یک‌ششم درهم</t>
  </si>
  <si>
    <t>یک‌هشتم ابول / یک‌چهل‌وهشتم درهم</t>
  </si>
  <si>
    <t>کالکو</t>
  </si>
  <si>
    <t>ابول (دانگ)</t>
  </si>
  <si>
    <t>ساسانیان</t>
  </si>
  <si>
    <t>پشیز</t>
  </si>
  <si>
    <t>گرم مس</t>
  </si>
  <si>
    <t>گرم
نقره</t>
  </si>
  <si>
    <t>گرم
برنز</t>
  </si>
  <si>
    <t>تیموریان</t>
  </si>
  <si>
    <t>تَنکه</t>
  </si>
  <si>
    <t>یک‌ششم درهم / یک‌دهم شاهی</t>
  </si>
  <si>
    <t>نادری (روپی)</t>
  </si>
  <si>
    <t>گرم نیکل</t>
  </si>
  <si>
    <t>زندیه</t>
  </si>
  <si>
    <t>یک مثقال طلا</t>
  </si>
  <si>
    <t>ده ریال</t>
  </si>
  <si>
    <t>قِران (صاحب قِران، زار)</t>
  </si>
  <si>
    <t>جنک</t>
  </si>
  <si>
    <t>یک‌چهارم شاهی</t>
  </si>
  <si>
    <t>نیم‌شاهی</t>
  </si>
  <si>
    <t>کشورستان</t>
  </si>
  <si>
    <t>باجاقلی (دوکا)</t>
  </si>
  <si>
    <t>یک‌هشتم تومان / 25 شاهی</t>
  </si>
  <si>
    <t>شاهی سفید</t>
  </si>
  <si>
    <t>سه شاهی / یک‌هشتم ریال</t>
  </si>
  <si>
    <t>یک‌ششم مثقال طلا / ده قِران نقره</t>
  </si>
  <si>
    <t>قِران</t>
  </si>
  <si>
    <t>20 شاهی</t>
  </si>
  <si>
    <t>پنج‌زاری</t>
  </si>
  <si>
    <t>دوزاری</t>
  </si>
  <si>
    <t>پنجاه‌دیناری</t>
  </si>
  <si>
    <t>پنج‌هزار ریالی</t>
  </si>
  <si>
    <t>بهار آزادی</t>
  </si>
  <si>
    <t>20 درم</t>
  </si>
  <si>
    <t>دینار (عین)</t>
  </si>
  <si>
    <t>عباسیان</t>
  </si>
  <si>
    <t>هفت‌دهم مثقال نقره / 14 قیراط</t>
  </si>
  <si>
    <t>امویان</t>
  </si>
  <si>
    <t>قراپول (پول)</t>
  </si>
  <si>
    <t>غاز (فلوس، پشیز)</t>
  </si>
  <si>
    <t>چندک</t>
  </si>
  <si>
    <t>دو غاز</t>
  </si>
  <si>
    <t>دانِق (فلس، دانگ)</t>
  </si>
  <si>
    <t>یک‌ششم درهم / دوپنجم گرم</t>
  </si>
  <si>
    <t>درهم (وَرِق، شش دانگ)</t>
  </si>
  <si>
    <t>دِرَم (دراخمه)</t>
  </si>
  <si>
    <t>ده‌برابر درهم نقره</t>
  </si>
  <si>
    <t>یک مثقال طلا / ده درهم</t>
  </si>
  <si>
    <t>استاتر</t>
  </si>
  <si>
    <t>ن به ط</t>
  </si>
  <si>
    <t>ط به ن</t>
  </si>
  <si>
    <t>ب به ط</t>
  </si>
  <si>
    <t>م به ط</t>
  </si>
  <si>
    <t>ك به م</t>
  </si>
  <si>
    <t>ب به ن</t>
  </si>
  <si>
    <t>م به ن</t>
  </si>
  <si>
    <t>یک‌شصتم طلا / نیم‌عباسی / دو شاهی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</si>
</sst>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7">
    <numFmt numFmtId="43" formatCode="_(* #,##0.00_);_(* \(#,##0.00\);_(* &quot;-&quot;??_);_(@_)"/>
    <numFmt numFmtId="164" formatCode="0.00000000"/>
    <numFmt numFmtId="165" formatCode="_(* #,##0_);_(* \(#,##0\);_(* &quot;-&quot;??_);_(@_)"/>
    <numFmt numFmtId="166" formatCode="_(* #,##0.0000000_);_(* \(#,##0.0000000\);_(* &quot;-&quot;??_);_(@_)"/>
    <numFmt numFmtId="167" formatCode="_(* #,##0.00000000_);_(* \(#,##0.00000000\);_(* &quot;-&quot;??_);_(@_)"/>
    <numFmt numFmtId="168" formatCode="_(* #,##0.000000000_);_(* \(#,##0.000000000\);_(* &quot;-&quot;??_);_(@_)"/>
    <numFmt numFmtId="169" formatCode="_(* #,##0.0000000000_);_(* \(#,##0.0000000000\);_(* &quot;-&quot;??_);_(@_)"/>
    <numFmt numFmtId="170" formatCode="0\ \د\ی\ن\ا\ر"/>
    <numFmt numFmtId="171" formatCode="0.00\ \د\ی\ن\ا\ر"/>
    <numFmt numFmtId="172" formatCode="0.000\ \د\ی\ن\ا\ر"/>
    <numFmt numFmtId="173" formatCode="0.0000\ \د\ی\ن\ا\ر"/>
    <numFmt numFmtId="174" formatCode="0.000"/>
    <numFmt numFmtId="175" formatCode="0.0"/>
    <numFmt numFmtId="176" formatCode="0.0000000"/>
    <numFmt numFmtId="177" formatCode="0.000000"/>
    <numFmt numFmtId="178" formatCode="0.00000"/>
    <numFmt numFmtId="179" formatCode="0.0\ \د\ی\ن\ا\ر"/>
  </numFmts>
  <fonts count="6" x14ac:knownFonts="1">
    <font>
      <sz val="11"/>
      <color theme="1"/>
      <name val="Arial"/>
      <family val="2"/>
      <scheme val="minor"/>
    </font>
    <font>
      <sz val="11"/>
      <color theme="1"/>
      <name val="Arial"/>
      <family val="2"/>
      <scheme val="minor"/>
    </font>
    <font>
      <sz val="16"/>
      <color theme="1"/>
      <name val="Vazir FD"/>
      <family val="2"/>
    </font>
    <font>
      <sz val="8"/>
      <name val="Arial"/>
      <family val="2"/>
      <scheme val="minor"/>
    </font>
    <font>
      <sz val="16"/>
      <color rgb="FFFF0000"/>
      <name val="Vazir FD"/>
      <family val="2"/>
    </font>
    <font>
      <sz val="16"/>
      <name val="Vazir FD"/>
      <family val="2"/>
    </font>
  </fonts>
  <fills count="4">
    <fill>
      <patternFill patternType="none"/>
    </fill>
    <fill>
      <patternFill patternType="gray125"/>
    </fill>
    <fill>
      <patternFill patternType="solid">
        <fgColor theme="8" tint="0.39997558519241921"/>
        <bgColor indexed="64"/>
      </patternFill>
    </fill>
    <fill>
      <patternFill patternType="solid">
        <fgColor rgb="FFEF9595"/>
        <bgColor indexed="64"/>
      </patternFill>
    </fill>
  </fills>
  <borders count="2">
    <border>
      <left/>
      <right/>
      <top/>
      <bottom/>
      <diagonal/>
    </border>
    <border>
      <left style="medium">
        <color rgb="FFEC7C7C"/>
      </left>
      <right style="medium">
        <color rgb="FFEC7C7C"/>
      </right>
      <top style="medium">
        <color rgb="FFEC7C7C"/>
      </top>
      <bottom style="medium">
        <color rgb="FFEC7C7C"/>
      </bottom>
      <diagonal/>
    </border>
  </borders>
  <cellStyleXfs count="2">
    <xf numFmtId="0" fontId="0" fillId="0" borderId="0"/>
    <xf numFmtId="43" fontId="1" fillId="0" borderId="0" applyFont="0" applyFill="0" applyBorder="0" applyAlignment="0" applyProtection="0"/>
  </cellStyleXfs>
  <cellXfs count="55">
    <xf numFmtId="0" fontId="0" fillId="0" borderId="0" xfId="0"/>
    <xf numFmtId="0" fontId="2" fillId="0" borderId="0" xfId="0" applyFont="1"/>
    <xf numFmtId="0" fontId="2" fillId="0" borderId="0" xfId="0" applyFont="1" applyAlignment="1">
      <alignment horizontal="center" vertical="center"/>
    </xf>
    <xf numFmtId="0" fontId="2" fillId="0" borderId="0" xfId="0" applyFont="1" applyAlignment="1">
      <alignment horizontal="left" vertical="center"/>
    </xf>
    <xf numFmtId="0" fontId="2" fillId="0" borderId="0" xfId="0" applyFont="1" applyAlignment="1">
      <alignment horizontal="center" vertical="center" readingOrder="2"/>
    </xf>
    <xf numFmtId="0" fontId="2" fillId="0" borderId="0" xfId="0" applyFont="1" applyAlignment="1">
      <alignment horizontal="left" vertical="center" readingOrder="2"/>
    </xf>
    <xf numFmtId="0" fontId="2" fillId="0" borderId="0" xfId="0" applyFont="1" applyAlignment="1">
      <alignment horizontal="right" vertical="center" readingOrder="2"/>
    </xf>
    <xf numFmtId="0" fontId="2" fillId="0" borderId="0" xfId="0" applyFont="1" applyAlignment="1">
      <alignment horizontal="right"/>
    </xf>
    <xf numFmtId="164" fontId="2" fillId="0" borderId="0" xfId="0" applyNumberFormat="1" applyFont="1"/>
    <xf numFmtId="165" fontId="2" fillId="0" borderId="0" xfId="1" applyNumberFormat="1" applyFont="1"/>
    <xf numFmtId="43" fontId="2" fillId="0" borderId="0" xfId="0" applyNumberFormat="1" applyFont="1"/>
    <xf numFmtId="165" fontId="2" fillId="0" borderId="0" xfId="0" applyNumberFormat="1" applyFont="1"/>
    <xf numFmtId="169" fontId="2" fillId="0" borderId="0" xfId="1" applyNumberFormat="1" applyFont="1"/>
    <xf numFmtId="166" fontId="2" fillId="0" borderId="0" xfId="0" applyNumberFormat="1" applyFont="1"/>
    <xf numFmtId="167" fontId="2" fillId="0" borderId="0" xfId="0" applyNumberFormat="1" applyFont="1"/>
    <xf numFmtId="168" fontId="2" fillId="0" borderId="0" xfId="0" applyNumberFormat="1" applyFont="1"/>
    <xf numFmtId="169" fontId="2" fillId="0" borderId="0" xfId="0" applyNumberFormat="1" applyFont="1"/>
    <xf numFmtId="170" fontId="2" fillId="0" borderId="0" xfId="0" applyNumberFormat="1" applyFont="1" applyAlignment="1">
      <alignment horizontal="left" vertical="center" readingOrder="2"/>
    </xf>
    <xf numFmtId="171" fontId="2" fillId="0" borderId="0" xfId="0" applyNumberFormat="1" applyFont="1" applyAlignment="1">
      <alignment horizontal="left" vertical="center" readingOrder="2"/>
    </xf>
    <xf numFmtId="172" fontId="2" fillId="0" borderId="0" xfId="0" applyNumberFormat="1" applyFont="1" applyAlignment="1">
      <alignment horizontal="left" vertical="center" readingOrder="2"/>
    </xf>
    <xf numFmtId="173" fontId="2" fillId="0" borderId="0" xfId="0" applyNumberFormat="1" applyFont="1" applyAlignment="1">
      <alignment horizontal="left" vertical="center" readingOrder="2"/>
    </xf>
    <xf numFmtId="0" fontId="2" fillId="0" borderId="0" xfId="0" applyFont="1" applyAlignment="1">
      <alignment horizontal="left"/>
    </xf>
    <xf numFmtId="0" fontId="2" fillId="0" borderId="0" xfId="0" applyFont="1" applyAlignment="1">
      <alignment horizontal="center" vertical="center" wrapText="1" readingOrder="2"/>
    </xf>
    <xf numFmtId="0" fontId="2" fillId="0" borderId="0" xfId="0" applyFont="1" applyAlignment="1">
      <alignment horizontal="left" vertical="center" wrapText="1"/>
    </xf>
    <xf numFmtId="0" fontId="2" fillId="2" borderId="0" xfId="0" applyFont="1" applyFill="1" applyAlignment="1">
      <alignment horizontal="left" vertical="center"/>
    </xf>
    <xf numFmtId="0" fontId="2" fillId="2" borderId="0" xfId="0" applyFont="1" applyFill="1" applyAlignment="1">
      <alignment horizontal="left"/>
    </xf>
    <xf numFmtId="0" fontId="2" fillId="0" borderId="0" xfId="0" applyFont="1" applyFill="1" applyAlignment="1">
      <alignment horizontal="left"/>
    </xf>
    <xf numFmtId="0" fontId="2" fillId="0" borderId="0" xfId="0" applyFont="1" applyFill="1" applyAlignment="1">
      <alignment horizontal="left" vertical="center"/>
    </xf>
    <xf numFmtId="0" fontId="2" fillId="3" borderId="1" xfId="0" applyFont="1" applyFill="1" applyBorder="1" applyAlignment="1">
      <alignment horizontal="left" vertical="center" readingOrder="2"/>
    </xf>
    <xf numFmtId="174" fontId="2" fillId="0" borderId="0" xfId="0" applyNumberFormat="1" applyFont="1"/>
    <xf numFmtId="175" fontId="2" fillId="0" borderId="0" xfId="0" applyNumberFormat="1" applyFont="1"/>
    <xf numFmtId="170" fontId="2" fillId="0" borderId="0" xfId="0" applyNumberFormat="1" applyFont="1" applyBorder="1" applyAlignment="1">
      <alignment horizontal="left" vertical="center" readingOrder="2"/>
    </xf>
    <xf numFmtId="174" fontId="4" fillId="0" borderId="0" xfId="0" applyNumberFormat="1" applyFont="1" applyAlignment="1">
      <alignment horizontal="left" vertical="center"/>
    </xf>
    <xf numFmtId="2" fontId="4" fillId="0" borderId="0" xfId="0" applyNumberFormat="1" applyFont="1" applyAlignment="1">
      <alignment horizontal="left" vertical="center"/>
    </xf>
    <xf numFmtId="175" fontId="4" fillId="0" borderId="0" xfId="0" applyNumberFormat="1" applyFont="1" applyAlignment="1">
      <alignment horizontal="left" vertical="center"/>
    </xf>
    <xf numFmtId="175" fontId="2" fillId="2" borderId="0" xfId="0" applyNumberFormat="1" applyFont="1" applyFill="1" applyAlignment="1">
      <alignment horizontal="left"/>
    </xf>
    <xf numFmtId="179" fontId="2" fillId="0" borderId="0" xfId="0" applyNumberFormat="1" applyFont="1" applyAlignment="1">
      <alignment horizontal="left" vertical="center" readingOrder="2"/>
    </xf>
    <xf numFmtId="2" fontId="4" fillId="0" borderId="0" xfId="0" applyNumberFormat="1" applyFont="1" applyFill="1" applyAlignment="1">
      <alignment horizontal="left" vertical="center"/>
    </xf>
    <xf numFmtId="175" fontId="4" fillId="0" borderId="0" xfId="0" applyNumberFormat="1" applyFont="1" applyFill="1" applyAlignment="1">
      <alignment horizontal="left" vertical="center"/>
    </xf>
    <xf numFmtId="1" fontId="4" fillId="0" borderId="0" xfId="0" applyNumberFormat="1" applyFont="1" applyFill="1" applyAlignment="1">
      <alignment horizontal="left" vertical="center"/>
    </xf>
    <xf numFmtId="0" fontId="4" fillId="0" borderId="0" xfId="0" applyFont="1" applyAlignment="1">
      <alignment horizontal="left"/>
    </xf>
    <xf numFmtId="2" fontId="4" fillId="0" borderId="0" xfId="0" applyNumberFormat="1" applyFont="1" applyAlignment="1">
      <alignment horizontal="left"/>
    </xf>
    <xf numFmtId="175" fontId="4" fillId="0" borderId="0" xfId="0" applyNumberFormat="1" applyFont="1" applyAlignment="1">
      <alignment horizontal="left"/>
    </xf>
    <xf numFmtId="174" fontId="5" fillId="0" borderId="0" xfId="0" applyNumberFormat="1" applyFont="1" applyAlignment="1">
      <alignment horizontal="left" vertical="center"/>
    </xf>
    <xf numFmtId="0" fontId="5" fillId="0" borderId="0" xfId="0" applyFont="1" applyAlignment="1">
      <alignment horizontal="left" vertical="center"/>
    </xf>
    <xf numFmtId="178" fontId="4" fillId="0" borderId="0" xfId="0" applyNumberFormat="1" applyFont="1" applyAlignment="1">
      <alignment horizontal="left"/>
    </xf>
    <xf numFmtId="177" fontId="4" fillId="0" borderId="0" xfId="0" applyNumberFormat="1" applyFont="1" applyAlignment="1">
      <alignment horizontal="left"/>
    </xf>
    <xf numFmtId="176" fontId="4" fillId="0" borderId="0" xfId="0" applyNumberFormat="1" applyFont="1" applyAlignment="1">
      <alignment horizontal="left"/>
    </xf>
    <xf numFmtId="1" fontId="4" fillId="0" borderId="0" xfId="0" applyNumberFormat="1" applyFont="1" applyAlignment="1">
      <alignment horizontal="left"/>
    </xf>
    <xf numFmtId="0" fontId="4" fillId="2" borderId="0" xfId="0" applyFont="1" applyFill="1" applyAlignment="1">
      <alignment horizontal="left" vertical="center"/>
    </xf>
    <xf numFmtId="170" fontId="4" fillId="0" borderId="0" xfId="0" applyNumberFormat="1" applyFont="1" applyAlignment="1">
      <alignment horizontal="left" vertical="center" readingOrder="2"/>
    </xf>
    <xf numFmtId="171" fontId="4" fillId="0" borderId="0" xfId="0" applyNumberFormat="1" applyFont="1" applyAlignment="1">
      <alignment horizontal="left" vertical="center" readingOrder="2"/>
    </xf>
    <xf numFmtId="179" fontId="4" fillId="0" borderId="0" xfId="0" applyNumberFormat="1" applyFont="1" applyAlignment="1">
      <alignment horizontal="left" vertical="center" readingOrder="2"/>
    </xf>
    <xf numFmtId="172" fontId="4" fillId="0" borderId="0" xfId="0" applyNumberFormat="1" applyFont="1" applyAlignment="1">
      <alignment horizontal="left" vertical="center" readingOrder="2"/>
    </xf>
    <xf numFmtId="0" fontId="4" fillId="2" borderId="0" xfId="0" applyFont="1" applyFill="1" applyAlignment="1">
      <alignment horizontal="left"/>
    </xf>
  </cellXfs>
  <cellStyles count="2">
    <cellStyle name="Comma" xfId="1" builtinId="3"/>
    <cellStyle name="Normal" xfId="0" builtinId="0"/>
  </cellStyles>
  <dxfs count="10"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Vazir FD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Vazir FD"/>
        <family val="2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Vazir FD"/>
        <family val="2"/>
        <scheme val="none"/>
      </font>
      <alignment horizontal="left" textRotation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Vazir FD"/>
        <family val="2"/>
        <scheme val="none"/>
      </font>
      <alignment horizontal="left" vertical="bottom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Vazir FD"/>
        <family val="2"/>
        <scheme val="none"/>
      </font>
      <alignment horizontal="left" vertical="center" textRotation="0" wrapText="0" indent="0" justifyLastLine="0" shrinkToFit="0" readingOrder="0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Vazir FD"/>
        <family val="2"/>
        <scheme val="none"/>
      </font>
      <alignment horizontal="righ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Vazir FD"/>
        <family val="2"/>
        <scheme val="none"/>
      </font>
      <alignment horizontal="left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Vazir FD"/>
        <family val="2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Vazir FD"/>
        <family val="2"/>
        <scheme val="none"/>
      </font>
      <alignment horizontal="center" vertical="center" textRotation="0" wrapText="0" indent="0" justifyLastLine="0" shrinkToFit="0" readingOrder="2"/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6"/>
        <color theme="1"/>
        <name val="Vazir FD"/>
        <family val="2"/>
        <scheme val="none"/>
      </font>
      <alignment horizontal="center" vertical="center" textRotation="0" wrapText="0" indent="0" justifyLastLine="0" shrinkToFit="0" readingOrder="2"/>
    </dxf>
  </dxfs>
  <tableStyles count="0" defaultTableStyle="TableStyleMedium2" defaultPivotStyle="PivotStyleLight16"/>
  <colors>
    <mruColors>
      <color rgb="FFEC7C7C"/>
      <color rgb="FFEF9595"/>
      <color rgb="FFFFB7B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60581C05-01CC-4505-BB61-1A873414E4D8}" name="Table1" displayName="Table1" ref="A1:J60" totalsRowShown="0">
  <autoFilter ref="A1:J60" xr:uid="{0E680A73-41AC-4C6B-BF3C-AF0E7219D957}"/>
  <tableColumns count="10">
    <tableColumn id="1" xr3:uid="{D677D149-1DD4-4B4C-BF83-BE9317F526F4}" name="دوره" dataDxfId="9"/>
    <tableColumn id="7" xr3:uid="{AC017D50-72B6-42AC-9374-588171942ADD}" name="سال شمسی" dataDxfId="8"/>
    <tableColumn id="2" xr3:uid="{1E3F7A7E-7184-4B2B-9D15-82A10C0F3F89}" name="واحد پول" dataDxfId="7"/>
    <tableColumn id="3" xr3:uid="{FE9BA487-FCE6-4308-9C7F-B7C5FA50B3A0}" name="ارزش" dataDxfId="6"/>
    <tableColumn id="4" xr3:uid="{A23FD0F2-E7DA-4829-A244-171B3E69043F}" name="معادل" dataDxfId="5"/>
    <tableColumn id="5" xr3:uid="{27E6EF8A-D83A-4EC3-A510-811025F7E581}" name="گرم طلا" dataDxfId="4"/>
    <tableColumn id="6" xr3:uid="{2FF2A535-F74F-42D8-BA9F-04A031425691}" name="گرم_x000a_نقره" dataDxfId="3"/>
    <tableColumn id="9" xr3:uid="{1773CFDD-78A0-4051-A4D5-EF73F5D5EB16}" name="گرم_x000a_برنز" dataDxfId="2"/>
    <tableColumn id="10" xr3:uid="{9B58E042-53D9-4C53-8240-6B96A5EF60DE}" name="گرم مس" dataDxfId="1"/>
    <tableColumn id="11" xr3:uid="{72E6A47E-A612-4F49-9DAA-320202E294E5}" name="گرم نیکل" dataDxfId="0"/>
  </tableColumns>
  <tableStyleInfo name="TableStyleMedium10" showFirstColumn="0" showLastColumn="0" showRowStripes="1" showColumnStripes="0"/>
</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221149D2-D0B7-4556-A0C9-82D55815F808}">
  <dimension ref="A1:R60"/>
  <sheetViews>
    <sheetView tabSelected="1" topLeftCell="A55" zoomScale="90" zoomScaleNormal="90" workbookViewId="0">
      <selection activeCell="B17" sqref="B17"/>
    </sheetView>
  </sheetViews>
  <sheetFormatPr defaultRowHeight="26.25" x14ac:dyDescent="0.65"/>
  <cols>
    <col min="1" max="1" width="18.25" style="4" bestFit="1" customWidth="1"/>
    <col min="2" max="2" width="13.125" style="4" bestFit="1" customWidth="1"/>
    <col min="3" max="3" width="27.5" style="5" bestFit="1" customWidth="1"/>
    <col min="4" max="4" width="16" style="7" customWidth="1"/>
    <col min="5" max="5" width="45.25" style="1" customWidth="1"/>
    <col min="6" max="6" width="20.875" style="21" customWidth="1"/>
    <col min="7" max="7" width="12.75" style="21" bestFit="1" customWidth="1"/>
    <col min="8" max="8" width="7.125" style="21" bestFit="1" customWidth="1"/>
    <col min="9" max="9" width="8.625" style="21" bestFit="1" customWidth="1"/>
    <col min="10" max="10" width="9.75" style="3" bestFit="1" customWidth="1"/>
    <col min="11" max="11" width="9" style="1"/>
    <col min="12" max="12" width="9" style="1" customWidth="1"/>
    <col min="13" max="13" width="15.625" style="1" customWidth="1"/>
    <col min="14" max="14" width="26.875" style="1" customWidth="1"/>
    <col min="15" max="15" width="20.875" style="1" bestFit="1" customWidth="1"/>
    <col min="16" max="16" width="25.625" style="1" customWidth="1"/>
    <col min="17" max="17" width="25.5" style="1" customWidth="1"/>
    <col min="18" max="16384" width="9" style="1"/>
  </cols>
  <sheetData>
    <row r="1" spans="1:18" ht="51.75" customHeight="1" x14ac:dyDescent="0.65">
      <c r="A1" s="4" t="s">
        <v>10</v>
      </c>
      <c r="B1" s="22" t="s">
        <v>31</v>
      </c>
      <c r="C1" s="4" t="s">
        <v>11</v>
      </c>
      <c r="D1" s="4" t="s">
        <v>12</v>
      </c>
      <c r="E1" s="4" t="s">
        <v>13</v>
      </c>
      <c r="F1" s="3" t="s">
        <v>24</v>
      </c>
      <c r="G1" s="23" t="s">
        <v>43</v>
      </c>
      <c r="H1" s="23" t="s">
        <v>44</v>
      </c>
      <c r="I1" s="23" t="s">
        <v>42</v>
      </c>
      <c r="J1" s="23" t="s">
        <v>49</v>
      </c>
    </row>
    <row r="2" spans="1:18" x14ac:dyDescent="0.65">
      <c r="A2" s="4" t="s">
        <v>22</v>
      </c>
      <c r="B2" s="2">
        <v>-1143</v>
      </c>
      <c r="C2" s="4" t="s">
        <v>23</v>
      </c>
      <c r="D2" s="52">
        <f>Table1[[#This Row],[گرم
نقره]]/$G$8</f>
        <v>21.358730158730157</v>
      </c>
      <c r="E2" s="6"/>
      <c r="F2" s="24">
        <v>8.41</v>
      </c>
      <c r="G2" s="48">
        <f>Table1[[#This Row],[گرم طلا]]*$M$8</f>
        <v>96.114285714285714</v>
      </c>
      <c r="N2" s="8">
        <v>0.36611909999999998</v>
      </c>
      <c r="O2" s="1">
        <v>1250</v>
      </c>
      <c r="Q2" s="9">
        <v>16625000</v>
      </c>
      <c r="R2" s="30">
        <f>Q2/Q3</f>
        <v>74.585015702108564</v>
      </c>
    </row>
    <row r="3" spans="1:18" x14ac:dyDescent="0.65">
      <c r="A3" s="4" t="s">
        <v>22</v>
      </c>
      <c r="B3" s="2">
        <v>-1143</v>
      </c>
      <c r="C3" s="4" t="s">
        <v>26</v>
      </c>
      <c r="D3" s="52">
        <f>Table1[[#This Row],[گرم
نقره]]/$G$8</f>
        <v>1.2444444444444445</v>
      </c>
      <c r="E3" s="6" t="s">
        <v>25</v>
      </c>
      <c r="F3" s="34">
        <f>Table1[[#This Row],[گرم
نقره]]*$M$9</f>
        <v>0.48999999999999994</v>
      </c>
      <c r="G3" s="25">
        <v>5.6</v>
      </c>
      <c r="M3" s="1">
        <v>1311</v>
      </c>
      <c r="N3" s="8">
        <v>7.3223819999999995E-2</v>
      </c>
      <c r="O3" s="1">
        <f>N3*O2/N2</f>
        <v>250.00000000000003</v>
      </c>
      <c r="Q3" s="9">
        <v>222900</v>
      </c>
      <c r="R3" s="29">
        <f>Q3/Q2</f>
        <v>1.3407518796992481E-2</v>
      </c>
    </row>
    <row r="4" spans="1:18" x14ac:dyDescent="0.65">
      <c r="A4" s="4" t="s">
        <v>22</v>
      </c>
      <c r="B4" s="2">
        <v>-949</v>
      </c>
      <c r="C4" s="4" t="s">
        <v>85</v>
      </c>
      <c r="D4" s="52">
        <f>Table1[[#This Row],[گرم
نقره]]/$G$8</f>
        <v>2.822222222222222</v>
      </c>
      <c r="E4" s="6"/>
      <c r="F4" s="34">
        <f>Table1[[#This Row],[گرم
نقره]]*$M$9</f>
        <v>1.1112499999999998</v>
      </c>
      <c r="G4" s="35">
        <v>12.7</v>
      </c>
      <c r="M4" s="1">
        <v>1351</v>
      </c>
      <c r="N4" s="8">
        <v>1.0805499999999999E-2</v>
      </c>
      <c r="O4" s="1">
        <f>N4*O2/N2</f>
        <v>36.892025026828705</v>
      </c>
      <c r="Q4" s="11">
        <f>Q3*1.2</f>
        <v>267480</v>
      </c>
    </row>
    <row r="5" spans="1:18" x14ac:dyDescent="0.65">
      <c r="A5" s="4" t="s">
        <v>33</v>
      </c>
      <c r="B5" s="2">
        <v>-854</v>
      </c>
      <c r="C5" s="4" t="s">
        <v>32</v>
      </c>
      <c r="D5" s="52">
        <f>Table1[[#This Row],[گرم
نقره]]/$G$8</f>
        <v>0.88888888888888884</v>
      </c>
      <c r="E5" s="6"/>
      <c r="F5" s="34">
        <f>Table1[[#This Row],[گرم
نقره]]*$M$9</f>
        <v>0.35</v>
      </c>
      <c r="G5" s="25">
        <v>4</v>
      </c>
      <c r="Q5" s="11">
        <f>Q4*4</f>
        <v>1069920</v>
      </c>
    </row>
    <row r="6" spans="1:18" x14ac:dyDescent="0.65">
      <c r="A6" s="4" t="s">
        <v>33</v>
      </c>
      <c r="B6" s="2">
        <v>-854</v>
      </c>
      <c r="C6" s="4" t="s">
        <v>39</v>
      </c>
      <c r="D6" s="51">
        <f>Table1[[#This Row],[گرم
نقره]]/$G$8</f>
        <v>0.1488888888888889</v>
      </c>
      <c r="E6" s="6" t="s">
        <v>36</v>
      </c>
      <c r="F6" s="34">
        <f>Table1[[#This Row],[گرم
نقره]]*$M$9</f>
        <v>5.8624999999999997E-2</v>
      </c>
      <c r="G6" s="25">
        <v>0.67</v>
      </c>
      <c r="M6" s="1">
        <v>1401</v>
      </c>
      <c r="N6" s="9">
        <v>16660000</v>
      </c>
      <c r="O6" s="11">
        <v>1</v>
      </c>
      <c r="P6" s="1">
        <v>56880397662.946297</v>
      </c>
    </row>
    <row r="7" spans="1:18" ht="27" thickBot="1" x14ac:dyDescent="0.7">
      <c r="A7" s="4" t="s">
        <v>33</v>
      </c>
      <c r="B7" s="2">
        <v>-854</v>
      </c>
      <c r="C7" s="4" t="s">
        <v>38</v>
      </c>
      <c r="D7" s="51">
        <f>Table1[[#This Row],[گرم
نقره]]/$G$8</f>
        <v>1.8611111111111113E-2</v>
      </c>
      <c r="E7" s="6" t="s">
        <v>37</v>
      </c>
      <c r="F7" s="32">
        <f>Table1[[#This Row],[گرم
نقره]]*$M$9</f>
        <v>7.3281249999999996E-3</v>
      </c>
      <c r="G7" s="40">
        <f>Table1[[#This Row],[گرم
برنز]]*$M$13</f>
        <v>8.3750000000000005E-2</v>
      </c>
      <c r="H7" s="25">
        <v>2</v>
      </c>
      <c r="N7" s="1">
        <v>1</v>
      </c>
      <c r="O7" s="12">
        <f>O6*N7/N6</f>
        <v>6.0024009603841531E-8</v>
      </c>
    </row>
    <row r="8" spans="1:18" ht="27" thickBot="1" x14ac:dyDescent="0.7">
      <c r="A8" s="4" t="s">
        <v>2</v>
      </c>
      <c r="B8" s="2">
        <v>-832</v>
      </c>
      <c r="C8" s="4" t="s">
        <v>34</v>
      </c>
      <c r="D8" s="28">
        <v>1</v>
      </c>
      <c r="E8" s="6" t="s">
        <v>83</v>
      </c>
      <c r="F8" s="34">
        <f>Table1[[#This Row],[گرم
نقره]]*$M$9</f>
        <v>0.39374999999999999</v>
      </c>
      <c r="G8" s="25">
        <v>4.5</v>
      </c>
      <c r="L8" s="1" t="s">
        <v>87</v>
      </c>
      <c r="M8" s="1">
        <f>$G$3/$F$3</f>
        <v>11.428571428571429</v>
      </c>
      <c r="N8" s="10">
        <f>N7/O8</f>
        <v>4879.6353647999995</v>
      </c>
      <c r="O8" s="13">
        <f>O7*O3/N3</f>
        <v>2.0493334547365031E-4</v>
      </c>
    </row>
    <row r="9" spans="1:18" x14ac:dyDescent="0.65">
      <c r="A9" s="4" t="s">
        <v>40</v>
      </c>
      <c r="B9" s="2">
        <v>-401</v>
      </c>
      <c r="C9" s="4" t="s">
        <v>28</v>
      </c>
      <c r="D9" s="52">
        <f>Table1[[#This Row],[گرم
نقره]]/$G$8</f>
        <v>17.777777777777779</v>
      </c>
      <c r="E9" s="6" t="s">
        <v>70</v>
      </c>
      <c r="F9" s="24">
        <v>7</v>
      </c>
      <c r="G9" s="48">
        <f>Table1[[#This Row],[گرم طلا]]*$M$8</f>
        <v>80</v>
      </c>
      <c r="L9" s="1" t="s">
        <v>86</v>
      </c>
      <c r="M9" s="1">
        <f>Table1[[#This Row],[گرم طلا]]/20/G10</f>
        <v>8.7499999999999994E-2</v>
      </c>
      <c r="N9" s="1">
        <v>8.41</v>
      </c>
      <c r="O9" s="1">
        <f>O2*N9/N2</f>
        <v>28713.33399432043</v>
      </c>
    </row>
    <row r="10" spans="1:18" x14ac:dyDescent="0.65">
      <c r="A10" s="4" t="s">
        <v>40</v>
      </c>
      <c r="B10" s="2">
        <v>-401</v>
      </c>
      <c r="C10" s="4" t="s">
        <v>82</v>
      </c>
      <c r="D10" s="52">
        <f>Table1[[#This Row],[گرم
نقره]]/$G$8</f>
        <v>0.88888888888888884</v>
      </c>
      <c r="E10" s="6"/>
      <c r="F10" s="34">
        <f>Table1[[#This Row],[گرم
نقره]]*$M$9</f>
        <v>0.35</v>
      </c>
      <c r="G10" s="25">
        <v>4</v>
      </c>
      <c r="L10" s="1" t="s">
        <v>88</v>
      </c>
      <c r="M10" s="1">
        <f>F5/48/H7</f>
        <v>3.645833333333333E-3</v>
      </c>
      <c r="N10" s="1">
        <v>7.3223820000000002</v>
      </c>
      <c r="O10" s="9">
        <v>4200000</v>
      </c>
      <c r="P10" s="10">
        <f>O10/N10</f>
        <v>573583.84197929036</v>
      </c>
      <c r="Q10" s="14">
        <f>1/P10</f>
        <v>1.7434242857142857E-6</v>
      </c>
    </row>
    <row r="11" spans="1:18" x14ac:dyDescent="0.65">
      <c r="A11" s="4" t="s">
        <v>40</v>
      </c>
      <c r="B11" s="2">
        <v>-401</v>
      </c>
      <c r="C11" s="4" t="s">
        <v>41</v>
      </c>
      <c r="D11" s="51">
        <f>Table1[[#This Row],[گرم
نقره]]/$G$8</f>
        <v>0.14601481481481482</v>
      </c>
      <c r="E11" s="6"/>
      <c r="F11" s="33">
        <f>Table1[[#This Row],[گرم
نقره]]*$M$9</f>
        <v>5.7493333333333334E-2</v>
      </c>
      <c r="G11" s="42">
        <f>Table1[[#This Row],[گرم مس]]*$M$14</f>
        <v>0.65706666666666669</v>
      </c>
      <c r="I11" s="25">
        <v>16</v>
      </c>
      <c r="L11" s="1" t="s">
        <v>89</v>
      </c>
      <c r="M11" s="1">
        <f>F24/I24</f>
        <v>3.5933333333333329E-3</v>
      </c>
      <c r="N11" s="1">
        <v>7.3223820000000002</v>
      </c>
      <c r="O11" s="9">
        <v>13000000</v>
      </c>
      <c r="P11" s="10">
        <f>O11/N11</f>
        <v>1775378.5585073272</v>
      </c>
      <c r="Q11" s="15">
        <f>1/P11</f>
        <v>5.6326015384615389E-7</v>
      </c>
    </row>
    <row r="12" spans="1:18" x14ac:dyDescent="0.65">
      <c r="A12" s="4" t="s">
        <v>74</v>
      </c>
      <c r="B12" s="2">
        <v>74</v>
      </c>
      <c r="C12" s="4" t="s">
        <v>28</v>
      </c>
      <c r="D12" s="52">
        <f>Table1[[#This Row],[گرم
نقره]]/$G$8</f>
        <v>10.793650793650793</v>
      </c>
      <c r="E12" s="6"/>
      <c r="F12" s="24">
        <v>4.25</v>
      </c>
      <c r="G12" s="48">
        <f>Table1[[#This Row],[گرم طلا]]*$M$8</f>
        <v>48.571428571428569</v>
      </c>
      <c r="I12" s="26"/>
      <c r="L12" s="1" t="s">
        <v>90</v>
      </c>
      <c r="M12" s="1">
        <f>F54/J54</f>
        <v>5.0000000000000001E-3</v>
      </c>
      <c r="O12" s="14">
        <f>O2*Q10/N2</f>
        <v>5.9523809523809521E-3</v>
      </c>
    </row>
    <row r="13" spans="1:18" x14ac:dyDescent="0.65">
      <c r="A13" s="4" t="s">
        <v>72</v>
      </c>
      <c r="B13" s="2">
        <v>180</v>
      </c>
      <c r="C13" s="4" t="s">
        <v>71</v>
      </c>
      <c r="D13" s="50">
        <f>Table1[[#This Row],[گرم
نقره]]/$G$8</f>
        <v>8.9396825396825399</v>
      </c>
      <c r="E13" s="6" t="s">
        <v>84</v>
      </c>
      <c r="F13" s="24">
        <v>3.52</v>
      </c>
      <c r="G13" s="48">
        <f>Table1[[#This Row],[گرم طلا]]*$M$8</f>
        <v>40.228571428571428</v>
      </c>
      <c r="I13" s="26"/>
      <c r="L13" s="1" t="s">
        <v>91</v>
      </c>
      <c r="M13" s="1">
        <f>G6/8/H7</f>
        <v>4.1875000000000002E-2</v>
      </c>
      <c r="O13" s="16">
        <f>Q11*O2/N2</f>
        <v>1.9230769230769232E-3</v>
      </c>
    </row>
    <row r="14" spans="1:18" x14ac:dyDescent="0.65">
      <c r="A14" s="4" t="s">
        <v>72</v>
      </c>
      <c r="B14" s="2">
        <v>177</v>
      </c>
      <c r="C14" s="4" t="s">
        <v>81</v>
      </c>
      <c r="D14" s="52">
        <f>Table1[[#This Row],[گرم
نقره]]/$G$8</f>
        <v>0.54755555555555557</v>
      </c>
      <c r="E14" s="6" t="s">
        <v>73</v>
      </c>
      <c r="F14" s="34">
        <f>Table1[[#This Row],[گرم
نقره]]*$M$9</f>
        <v>0.21559999999999999</v>
      </c>
      <c r="G14" s="25">
        <f>F13/10*7</f>
        <v>2.464</v>
      </c>
      <c r="I14" s="26"/>
      <c r="L14" s="1" t="s">
        <v>92</v>
      </c>
      <c r="M14" s="1">
        <f>Table1[[#This Row],[گرم
نقره]]/6/I24</f>
        <v>4.1066666666666668E-2</v>
      </c>
    </row>
    <row r="15" spans="1:18" x14ac:dyDescent="0.65">
      <c r="A15" s="4" t="s">
        <v>74</v>
      </c>
      <c r="B15" s="2">
        <v>74</v>
      </c>
      <c r="C15" s="4" t="s">
        <v>79</v>
      </c>
      <c r="D15" s="53">
        <f>Table1[[#This Row],[گرم
نقره]]/$G$8</f>
        <v>3.6503703703703711E-3</v>
      </c>
      <c r="E15" s="6" t="s">
        <v>80</v>
      </c>
      <c r="F15" s="32">
        <f>Table1[[#This Row],[گرم
نقره]]*$M$9</f>
        <v>1.4373333333333334E-3</v>
      </c>
      <c r="G15" s="41">
        <f>Table1[[#This Row],[گرم مس]]*$M$14</f>
        <v>1.6426666666666669E-2</v>
      </c>
      <c r="I15" s="25">
        <v>0.4</v>
      </c>
    </row>
    <row r="16" spans="1:18" x14ac:dyDescent="0.65">
      <c r="A16" s="4" t="s">
        <v>3</v>
      </c>
      <c r="B16" s="2">
        <v>354</v>
      </c>
      <c r="C16" s="4" t="s">
        <v>35</v>
      </c>
      <c r="D16" s="17">
        <f>100*D8</f>
        <v>100</v>
      </c>
      <c r="E16" s="6" t="s">
        <v>93</v>
      </c>
      <c r="F16" s="43">
        <v>1.6E-2</v>
      </c>
      <c r="G16" s="25">
        <v>1.55</v>
      </c>
    </row>
    <row r="17" spans="1:9" x14ac:dyDescent="0.65">
      <c r="A17" s="4" t="s">
        <v>4</v>
      </c>
      <c r="B17" s="2">
        <v>243</v>
      </c>
      <c r="C17" s="4" t="s">
        <v>0</v>
      </c>
      <c r="D17" s="17">
        <f>50*D8</f>
        <v>50</v>
      </c>
      <c r="E17" s="6" t="s">
        <v>16</v>
      </c>
      <c r="F17" s="34">
        <f>Table1[[#This Row],[گرم
نقره]]*$M$9</f>
        <v>0.33249999999999996</v>
      </c>
      <c r="G17" s="25">
        <v>3.8</v>
      </c>
    </row>
    <row r="18" spans="1:9" x14ac:dyDescent="0.65">
      <c r="A18" s="4" t="s">
        <v>45</v>
      </c>
      <c r="B18" s="2">
        <v>803</v>
      </c>
      <c r="C18" s="4" t="s">
        <v>46</v>
      </c>
      <c r="D18" s="52">
        <f>Table1[[#This Row],[گرم
نقره]]/$G$8</f>
        <v>0.55555555555555558</v>
      </c>
      <c r="E18" s="6"/>
      <c r="F18" s="34">
        <f>Table1[[#This Row],[گرم
نقره]]*$M$9</f>
        <v>0.21875</v>
      </c>
      <c r="G18" s="25">
        <v>2.5</v>
      </c>
    </row>
    <row r="19" spans="1:9" x14ac:dyDescent="0.65">
      <c r="A19" s="4" t="s">
        <v>5</v>
      </c>
      <c r="B19" s="2">
        <v>880</v>
      </c>
      <c r="C19" s="4" t="s">
        <v>27</v>
      </c>
      <c r="D19" s="52">
        <f>Table1[[#This Row],[گرم
نقره]]/$G$8</f>
        <v>11.682539682539682</v>
      </c>
      <c r="E19" s="6"/>
      <c r="F19" s="24">
        <v>4.5999999999999996</v>
      </c>
      <c r="G19" s="48">
        <f>Table1[[#This Row],[گرم طلا]]*$M$8</f>
        <v>52.571428571428569</v>
      </c>
    </row>
    <row r="20" spans="1:9" x14ac:dyDescent="0.65">
      <c r="A20" s="4" t="s">
        <v>5</v>
      </c>
      <c r="B20" s="2">
        <v>1073</v>
      </c>
      <c r="C20" s="4" t="s">
        <v>1</v>
      </c>
      <c r="D20" s="17">
        <f>200*D8</f>
        <v>200</v>
      </c>
      <c r="E20" s="6" t="s">
        <v>15</v>
      </c>
      <c r="F20" s="34">
        <f>Table1[[#This Row],[گرم
نقره]]*$M$9</f>
        <v>0.63874999999999993</v>
      </c>
      <c r="G20" s="25">
        <v>7.3</v>
      </c>
    </row>
    <row r="21" spans="1:9" x14ac:dyDescent="0.65">
      <c r="A21" s="4" t="s">
        <v>5</v>
      </c>
      <c r="B21" s="2">
        <v>1090</v>
      </c>
      <c r="C21" s="4" t="s">
        <v>1</v>
      </c>
      <c r="D21" s="17">
        <f>200*D8</f>
        <v>200</v>
      </c>
      <c r="E21" s="6" t="s">
        <v>15</v>
      </c>
      <c r="F21" s="34">
        <f>Table1[[#This Row],[گرم
نقره]]*$M$9</f>
        <v>0.60375000000000001</v>
      </c>
      <c r="G21" s="25">
        <v>6.9</v>
      </c>
    </row>
    <row r="22" spans="1:9" x14ac:dyDescent="0.65">
      <c r="A22" s="4" t="s">
        <v>5</v>
      </c>
      <c r="B22" s="2">
        <v>1096</v>
      </c>
      <c r="C22" s="4" t="s">
        <v>1</v>
      </c>
      <c r="D22" s="17">
        <f>200*D8</f>
        <v>200</v>
      </c>
      <c r="E22" s="6" t="s">
        <v>15</v>
      </c>
      <c r="F22" s="34">
        <f>Table1[[#This Row],[گرم
نقره]]*$M$9</f>
        <v>0.46374999999999994</v>
      </c>
      <c r="G22" s="25">
        <v>5.3</v>
      </c>
    </row>
    <row r="23" spans="1:9" x14ac:dyDescent="0.65">
      <c r="A23" s="4" t="s">
        <v>5</v>
      </c>
      <c r="B23" s="2">
        <v>1101</v>
      </c>
      <c r="C23" s="4" t="s">
        <v>1</v>
      </c>
      <c r="D23" s="17">
        <f>200*D8</f>
        <v>200</v>
      </c>
      <c r="E23" s="6" t="s">
        <v>15</v>
      </c>
      <c r="F23" s="34">
        <f>Table1[[#This Row],[گرم
نقره]]*$M$9</f>
        <v>0.40249999999999997</v>
      </c>
      <c r="G23" s="25">
        <v>4.5999999999999996</v>
      </c>
    </row>
    <row r="24" spans="1:9" x14ac:dyDescent="0.65">
      <c r="A24" s="4" t="s">
        <v>5</v>
      </c>
      <c r="B24" s="2">
        <v>1101</v>
      </c>
      <c r="C24" s="4" t="s">
        <v>76</v>
      </c>
      <c r="D24" s="17">
        <f>5*D8</f>
        <v>5</v>
      </c>
      <c r="E24" s="6" t="s">
        <v>47</v>
      </c>
      <c r="F24" s="32">
        <f>Table1[[#This Row],[گرم
نقره]]*$M$9</f>
        <v>3.5933333333333331E-2</v>
      </c>
      <c r="G24" s="41">
        <f>Table1[[#This Row],[گرم مس]]*$M$14</f>
        <v>0.41066666666666668</v>
      </c>
      <c r="I24" s="25">
        <v>10</v>
      </c>
    </row>
    <row r="25" spans="1:9" x14ac:dyDescent="0.65">
      <c r="A25" s="4" t="s">
        <v>5</v>
      </c>
      <c r="B25" s="2">
        <v>1101</v>
      </c>
      <c r="C25" s="4" t="s">
        <v>19</v>
      </c>
      <c r="D25" s="17">
        <f>1175*D8</f>
        <v>1175</v>
      </c>
      <c r="E25" s="6"/>
      <c r="F25" s="24">
        <v>3.286</v>
      </c>
      <c r="G25" s="48">
        <f>Table1[[#This Row],[گرم طلا]]*$M$8</f>
        <v>37.554285714285719</v>
      </c>
    </row>
    <row r="26" spans="1:9" x14ac:dyDescent="0.65">
      <c r="A26" s="4" t="s">
        <v>6</v>
      </c>
      <c r="B26" s="2">
        <v>1115</v>
      </c>
      <c r="C26" s="4" t="s">
        <v>48</v>
      </c>
      <c r="D26" s="17">
        <f>500*D8</f>
        <v>500</v>
      </c>
      <c r="E26" s="6" t="s">
        <v>7</v>
      </c>
      <c r="F26" s="34">
        <f>Table1[[#This Row],[گرم
نقره]]*$M$9</f>
        <v>1.0062499999999999</v>
      </c>
      <c r="G26" s="25">
        <v>11.5</v>
      </c>
    </row>
    <row r="27" spans="1:9" x14ac:dyDescent="0.65">
      <c r="A27" s="4" t="s">
        <v>50</v>
      </c>
      <c r="B27" s="2">
        <v>1135</v>
      </c>
      <c r="C27" s="4" t="s">
        <v>27</v>
      </c>
      <c r="D27" s="50">
        <f>Table1[[#This Row],[گرم
نقره]]/$G$8</f>
        <v>27.936507936507937</v>
      </c>
      <c r="E27" s="6"/>
      <c r="F27" s="24">
        <v>11</v>
      </c>
      <c r="G27" s="48">
        <f>Table1[[#This Row],[گرم طلا]]*$M$8</f>
        <v>125.71428571428572</v>
      </c>
    </row>
    <row r="28" spans="1:9" x14ac:dyDescent="0.65">
      <c r="A28" s="4" t="s">
        <v>50</v>
      </c>
      <c r="B28" s="2">
        <v>1135</v>
      </c>
      <c r="C28" s="4" t="s">
        <v>0</v>
      </c>
      <c r="D28" s="17">
        <v>50</v>
      </c>
      <c r="E28" s="6"/>
      <c r="F28" s="34">
        <f>Table1[[#This Row],[گرم
نقره]]*$M$9</f>
        <v>0.10062499999999999</v>
      </c>
      <c r="G28" s="25">
        <v>1.1499999999999999</v>
      </c>
    </row>
    <row r="29" spans="1:9" x14ac:dyDescent="0.65">
      <c r="A29" s="4" t="s">
        <v>9</v>
      </c>
      <c r="B29" s="2">
        <v>1153</v>
      </c>
      <c r="C29" s="4" t="s">
        <v>58</v>
      </c>
      <c r="D29" s="50">
        <f>Table1[[#This Row],[گرم
نقره]]/$G$8</f>
        <v>8.8888888888888893</v>
      </c>
      <c r="E29" s="6"/>
      <c r="F29" s="24">
        <v>3.5</v>
      </c>
      <c r="G29" s="48">
        <f>Table1[[#This Row],[گرم طلا]]*$M$8</f>
        <v>40</v>
      </c>
    </row>
    <row r="30" spans="1:9" x14ac:dyDescent="0.65">
      <c r="A30" s="4" t="s">
        <v>9</v>
      </c>
      <c r="B30" s="2">
        <v>1153</v>
      </c>
      <c r="C30" s="4" t="s">
        <v>57</v>
      </c>
      <c r="D30" s="17">
        <f>1*D8</f>
        <v>1</v>
      </c>
      <c r="E30" s="6"/>
      <c r="F30" s="24">
        <v>3.456</v>
      </c>
      <c r="G30" s="48">
        <f>Table1[[#This Row],[گرم طلا]]*$M$8</f>
        <v>39.497142857142855</v>
      </c>
    </row>
    <row r="31" spans="1:9" x14ac:dyDescent="0.65">
      <c r="A31" s="4" t="s">
        <v>9</v>
      </c>
      <c r="B31" s="2">
        <v>1153</v>
      </c>
      <c r="C31" s="4" t="s">
        <v>77</v>
      </c>
      <c r="D31" s="17">
        <f>10*D8</f>
        <v>10</v>
      </c>
      <c r="E31" s="6" t="s">
        <v>78</v>
      </c>
      <c r="F31" s="32">
        <f>Table1[[#This Row],[گرم
نقره]]*$M$9</f>
        <v>7.1866666666666662E-2</v>
      </c>
      <c r="G31" s="41">
        <f>Table1[[#This Row],[گرم مس]]*$M$14</f>
        <v>0.82133333333333336</v>
      </c>
      <c r="I31" s="54">
        <v>20</v>
      </c>
    </row>
    <row r="32" spans="1:9" x14ac:dyDescent="0.65">
      <c r="A32" s="4" t="s">
        <v>9</v>
      </c>
      <c r="B32" s="2">
        <v>1153</v>
      </c>
      <c r="C32" s="4" t="s">
        <v>28</v>
      </c>
      <c r="D32" s="17">
        <f>1*D10</f>
        <v>0.88888888888888884</v>
      </c>
      <c r="E32" s="6"/>
      <c r="F32" s="24">
        <v>3.456</v>
      </c>
      <c r="G32" s="48">
        <f>Table1[[#This Row],[گرم طلا]]*$M$8</f>
        <v>39.497142857142855</v>
      </c>
    </row>
    <row r="33" spans="1:12" x14ac:dyDescent="0.65">
      <c r="A33" s="4" t="s">
        <v>9</v>
      </c>
      <c r="B33" s="2">
        <v>1188</v>
      </c>
      <c r="C33" s="4" t="s">
        <v>8</v>
      </c>
      <c r="D33" s="17">
        <f>10000*D8</f>
        <v>10000</v>
      </c>
      <c r="E33" s="7" t="s">
        <v>51</v>
      </c>
      <c r="F33" s="24">
        <v>3.52</v>
      </c>
      <c r="G33" s="48">
        <f>Table1[[#This Row],[گرم طلا]]*$M$8</f>
        <v>40.228571428571428</v>
      </c>
    </row>
    <row r="34" spans="1:12" x14ac:dyDescent="0.65">
      <c r="A34" s="4" t="s">
        <v>9</v>
      </c>
      <c r="B34" s="2">
        <v>1153</v>
      </c>
      <c r="C34" s="4" t="s">
        <v>8</v>
      </c>
      <c r="D34" s="17">
        <f>10000*D8</f>
        <v>10000</v>
      </c>
      <c r="E34" s="7" t="s">
        <v>62</v>
      </c>
      <c r="F34" s="24">
        <v>0.57999999999999996</v>
      </c>
      <c r="G34" s="48">
        <f>Table1[[#This Row],[گرم طلا]]*$M$8</f>
        <v>6.6285714285714281</v>
      </c>
    </row>
    <row r="35" spans="1:12" x14ac:dyDescent="0.65">
      <c r="A35" s="4" t="s">
        <v>9</v>
      </c>
      <c r="B35" s="2">
        <v>1199</v>
      </c>
      <c r="C35" s="4" t="s">
        <v>53</v>
      </c>
      <c r="D35" s="17">
        <f>1000*D8</f>
        <v>1000</v>
      </c>
      <c r="E35" s="6" t="s">
        <v>18</v>
      </c>
      <c r="F35" s="34">
        <f>Table1[[#This Row],[گرم
نقره]]*$M$9</f>
        <v>0.60375000000000001</v>
      </c>
      <c r="G35" s="25">
        <v>6.9</v>
      </c>
      <c r="L35" s="1">
        <f>Table1[[#This Row],[گرم
نقره]]/Table1[[#This Row],[گرم طلا]]</f>
        <v>11.428571428571429</v>
      </c>
    </row>
    <row r="36" spans="1:12" x14ac:dyDescent="0.65">
      <c r="A36" s="4" t="s">
        <v>9</v>
      </c>
      <c r="B36" s="2">
        <v>1169</v>
      </c>
      <c r="C36" s="4" t="s">
        <v>14</v>
      </c>
      <c r="D36" s="17">
        <f>1250*D8</f>
        <v>1250</v>
      </c>
      <c r="E36" s="6" t="s">
        <v>59</v>
      </c>
      <c r="F36" s="34">
        <f>Table1[[#This Row],[گرم
نقره]]*$M$9</f>
        <v>1.1024999999999998</v>
      </c>
      <c r="G36" s="25">
        <v>12.6</v>
      </c>
      <c r="L36" s="1">
        <f>Table1[[#This Row],[گرم
نقره]]/Table1[[#This Row],[گرم طلا]]</f>
        <v>11.428571428571431</v>
      </c>
    </row>
    <row r="37" spans="1:12" x14ac:dyDescent="0.65">
      <c r="A37" s="4" t="s">
        <v>9</v>
      </c>
      <c r="B37" s="2">
        <v>1169</v>
      </c>
      <c r="C37" s="4" t="s">
        <v>54</v>
      </c>
      <c r="D37" s="36">
        <f>12.5*D8</f>
        <v>12.5</v>
      </c>
      <c r="E37" s="6" t="s">
        <v>55</v>
      </c>
      <c r="F37" s="3"/>
      <c r="I37" s="25"/>
    </row>
    <row r="38" spans="1:12" x14ac:dyDescent="0.65">
      <c r="A38" s="4" t="s">
        <v>9</v>
      </c>
      <c r="B38" s="2">
        <v>1169</v>
      </c>
      <c r="C38" s="4" t="s">
        <v>75</v>
      </c>
      <c r="D38" s="17">
        <f>25*D8</f>
        <v>25</v>
      </c>
      <c r="E38" s="6" t="s">
        <v>56</v>
      </c>
      <c r="F38" s="3"/>
    </row>
    <row r="39" spans="1:12" x14ac:dyDescent="0.65">
      <c r="A39" s="4" t="s">
        <v>9</v>
      </c>
      <c r="B39" s="2">
        <v>1181</v>
      </c>
      <c r="C39" s="4" t="s">
        <v>60</v>
      </c>
      <c r="D39" s="52">
        <f>Table1[[#This Row],[گرم
نقره]]/$G$8</f>
        <v>0.26666666666666666</v>
      </c>
      <c r="E39" s="6" t="s">
        <v>61</v>
      </c>
      <c r="F39" s="34">
        <f>Table1[[#This Row],[گرم
نقره]]*$M$9</f>
        <v>0.105</v>
      </c>
      <c r="G39" s="25">
        <v>1.2</v>
      </c>
    </row>
    <row r="40" spans="1:12" x14ac:dyDescent="0.65">
      <c r="A40" s="4" t="s">
        <v>9</v>
      </c>
      <c r="B40" s="2">
        <v>1208</v>
      </c>
      <c r="C40" s="4" t="s">
        <v>27</v>
      </c>
      <c r="D40" s="52">
        <f>Table1[[#This Row],[گرم
نقره]]/$G$8</f>
        <v>8.6349206349206344</v>
      </c>
      <c r="E40" s="6"/>
      <c r="F40" s="24">
        <v>3.4</v>
      </c>
      <c r="G40" s="48">
        <f>Table1[[#This Row],[گرم طلا]]*$M$8</f>
        <v>38.857142857142854</v>
      </c>
    </row>
    <row r="41" spans="1:12" x14ac:dyDescent="0.65">
      <c r="A41" s="4" t="s">
        <v>9</v>
      </c>
      <c r="B41" s="2">
        <v>1240</v>
      </c>
      <c r="C41" s="4" t="s">
        <v>63</v>
      </c>
      <c r="D41" s="17">
        <f>1000*D8</f>
        <v>1000</v>
      </c>
      <c r="E41" s="6" t="s">
        <v>64</v>
      </c>
      <c r="F41" s="37">
        <f>Table1[[#This Row],[گرم
نقره]]*$M$9</f>
        <v>0.45499999999999996</v>
      </c>
      <c r="G41" s="25">
        <v>5.2</v>
      </c>
    </row>
    <row r="42" spans="1:12" x14ac:dyDescent="0.65">
      <c r="A42" s="4" t="s">
        <v>9</v>
      </c>
      <c r="B42" s="2">
        <v>1289</v>
      </c>
      <c r="C42" s="4" t="s">
        <v>66</v>
      </c>
      <c r="D42" s="17">
        <f>2000*D8</f>
        <v>2000</v>
      </c>
      <c r="E42" s="6"/>
      <c r="F42" s="24">
        <v>0.56999999999999995</v>
      </c>
      <c r="G42" s="48">
        <f>Table1[[#This Row],[گرم طلا]]*$M$8</f>
        <v>6.5142857142857142</v>
      </c>
    </row>
    <row r="43" spans="1:12" x14ac:dyDescent="0.65">
      <c r="A43" s="4" t="s">
        <v>9</v>
      </c>
      <c r="B43" s="2">
        <v>1289</v>
      </c>
      <c r="C43" s="4" t="s">
        <v>65</v>
      </c>
      <c r="D43" s="17">
        <f>5000*D8</f>
        <v>5000</v>
      </c>
      <c r="E43" s="6"/>
      <c r="F43" s="24">
        <v>1.43</v>
      </c>
      <c r="G43" s="48">
        <f>Table1[[#This Row],[گرم طلا]]*$M$8</f>
        <v>16.342857142857142</v>
      </c>
    </row>
    <row r="44" spans="1:12" x14ac:dyDescent="0.65">
      <c r="A44" s="4" t="s">
        <v>9</v>
      </c>
      <c r="B44" s="2">
        <v>1295</v>
      </c>
      <c r="C44" s="4" t="s">
        <v>8</v>
      </c>
      <c r="D44" s="17">
        <f>10000*D8</f>
        <v>10000</v>
      </c>
      <c r="E44" s="6"/>
      <c r="F44" s="24">
        <v>2.87</v>
      </c>
      <c r="G44" s="48">
        <f>Table1[[#This Row],[گرم طلا]]*$M$8</f>
        <v>32.800000000000004</v>
      </c>
    </row>
    <row r="45" spans="1:12" x14ac:dyDescent="0.65">
      <c r="A45" s="4" t="s">
        <v>17</v>
      </c>
      <c r="B45" s="2">
        <v>1304</v>
      </c>
      <c r="C45" s="4" t="s">
        <v>63</v>
      </c>
      <c r="D45" s="17">
        <f>1000*D8</f>
        <v>1000</v>
      </c>
      <c r="E45" s="6"/>
      <c r="F45" s="38">
        <f>Table1[[#This Row],[گرم
نقره]]*$M$9</f>
        <v>0.40249999999999997</v>
      </c>
      <c r="G45" s="25">
        <v>4.5999999999999996</v>
      </c>
    </row>
    <row r="46" spans="1:12" x14ac:dyDescent="0.65">
      <c r="A46" s="4" t="s">
        <v>17</v>
      </c>
      <c r="B46" s="2">
        <v>1304</v>
      </c>
      <c r="C46" s="4" t="s">
        <v>66</v>
      </c>
      <c r="D46" s="17">
        <f>2000*D8</f>
        <v>2000</v>
      </c>
      <c r="E46" s="6"/>
      <c r="F46" s="38">
        <f>Table1[[#This Row],[گرم
نقره]]*$M$9</f>
        <v>0.80499999999999994</v>
      </c>
      <c r="G46" s="25">
        <v>9.1999999999999993</v>
      </c>
    </row>
    <row r="47" spans="1:12" x14ac:dyDescent="0.65">
      <c r="A47" s="4" t="s">
        <v>17</v>
      </c>
      <c r="B47" s="2">
        <v>1304</v>
      </c>
      <c r="C47" s="4" t="s">
        <v>65</v>
      </c>
      <c r="D47" s="17">
        <f>5000*D8</f>
        <v>5000</v>
      </c>
      <c r="E47" s="6"/>
      <c r="F47" s="39">
        <f>Table1[[#This Row],[گرم
نقره]]*$M$9</f>
        <v>2.0124999999999997</v>
      </c>
      <c r="G47" s="25">
        <v>23</v>
      </c>
    </row>
    <row r="48" spans="1:12" x14ac:dyDescent="0.65">
      <c r="A48" s="4" t="s">
        <v>17</v>
      </c>
      <c r="B48" s="2">
        <v>1305</v>
      </c>
      <c r="C48" s="4" t="s">
        <v>17</v>
      </c>
      <c r="D48" s="50">
        <f>Table1[[#This Row],[گرم
نقره]]/$G$8</f>
        <v>4.8507936507936513</v>
      </c>
      <c r="E48" s="6"/>
      <c r="F48" s="24">
        <v>1.91</v>
      </c>
      <c r="G48" s="48">
        <f>Table1[[#This Row],[گرم طلا]]*$M$8</f>
        <v>21.828571428571429</v>
      </c>
    </row>
    <row r="49" spans="1:10" x14ac:dyDescent="0.65">
      <c r="A49" s="4" t="s">
        <v>17</v>
      </c>
      <c r="B49" s="2">
        <v>1310</v>
      </c>
      <c r="C49" s="4" t="s">
        <v>28</v>
      </c>
      <c r="D49" s="17">
        <v>1</v>
      </c>
      <c r="E49" s="6"/>
      <c r="F49" s="32">
        <f>Table1[[#This Row],[گرم
نقره]]*$M$9</f>
        <v>6.2289062500000001E-3</v>
      </c>
      <c r="G49" s="40">
        <f>Table1[[#This Row],[گرم
برنز]]*$M$13</f>
        <v>7.1187500000000001E-2</v>
      </c>
      <c r="H49" s="25">
        <v>1.7</v>
      </c>
    </row>
    <row r="50" spans="1:10" x14ac:dyDescent="0.65">
      <c r="A50" s="4" t="s">
        <v>17</v>
      </c>
      <c r="B50" s="2">
        <v>1311</v>
      </c>
      <c r="C50" s="4" t="s">
        <v>14</v>
      </c>
      <c r="D50" s="17">
        <f>1000*D8</f>
        <v>1000</v>
      </c>
      <c r="E50" s="6" t="s">
        <v>30</v>
      </c>
      <c r="F50" s="44">
        <v>7.0000000000000007E-2</v>
      </c>
      <c r="G50" s="25">
        <v>5</v>
      </c>
    </row>
    <row r="51" spans="1:10" x14ac:dyDescent="0.65">
      <c r="A51" s="4" t="s">
        <v>17</v>
      </c>
      <c r="B51" s="2">
        <v>1308</v>
      </c>
      <c r="C51" s="4" t="s">
        <v>8</v>
      </c>
      <c r="D51" s="17">
        <f>10*D50</f>
        <v>10000</v>
      </c>
      <c r="E51" s="6" t="s">
        <v>52</v>
      </c>
      <c r="F51" s="49">
        <f>F50*10</f>
        <v>0.70000000000000007</v>
      </c>
      <c r="G51" s="48">
        <f>Table1[[#This Row],[گرم طلا]]*$M$8</f>
        <v>8.0000000000000018</v>
      </c>
    </row>
    <row r="52" spans="1:10" x14ac:dyDescent="0.65">
      <c r="A52" s="4" t="s">
        <v>17</v>
      </c>
      <c r="B52" s="2">
        <v>1322</v>
      </c>
      <c r="C52" s="4" t="s">
        <v>14</v>
      </c>
      <c r="D52" s="17">
        <f>100*D8</f>
        <v>100</v>
      </c>
      <c r="E52" s="6"/>
      <c r="F52" s="33">
        <f>Table1[[#This Row],[گرم
نقره]]*$M$9</f>
        <v>0.13999999999999999</v>
      </c>
      <c r="G52" s="25">
        <v>1.6</v>
      </c>
    </row>
    <row r="53" spans="1:10" x14ac:dyDescent="0.65">
      <c r="A53" s="4" t="s">
        <v>17</v>
      </c>
      <c r="B53" s="2">
        <v>1322</v>
      </c>
      <c r="C53" s="4" t="s">
        <v>17</v>
      </c>
      <c r="D53" s="52">
        <f>Table1[[#This Row],[گرم
نقره]]/$G$8</f>
        <v>20.647619047619049</v>
      </c>
      <c r="E53" s="6"/>
      <c r="F53" s="24">
        <v>8.1300000000000008</v>
      </c>
      <c r="G53" s="48">
        <f>Table1[[#This Row],[گرم طلا]]*$M$8</f>
        <v>92.914285714285725</v>
      </c>
    </row>
    <row r="54" spans="1:10" x14ac:dyDescent="0.65">
      <c r="A54" s="4" t="s">
        <v>17</v>
      </c>
      <c r="B54" s="2">
        <v>1339</v>
      </c>
      <c r="C54" s="4" t="s">
        <v>14</v>
      </c>
      <c r="D54" s="31">
        <f>D50*Table1[[#This Row],[گرم طلا]]/F50</f>
        <v>142.85714285714283</v>
      </c>
      <c r="E54" s="6" t="s">
        <v>20</v>
      </c>
      <c r="F54" s="44">
        <v>0.01</v>
      </c>
      <c r="G54" s="42">
        <f>Table1[[#This Row],[گرم طلا]]*$M$8</f>
        <v>0.1142857142857143</v>
      </c>
      <c r="J54" s="24">
        <v>2</v>
      </c>
    </row>
    <row r="55" spans="1:10" x14ac:dyDescent="0.65">
      <c r="A55" s="4" t="s">
        <v>17</v>
      </c>
      <c r="B55" s="4">
        <v>1357</v>
      </c>
      <c r="C55" s="4" t="s">
        <v>14</v>
      </c>
      <c r="D55" s="18">
        <f>D50*Table1[[#This Row],[گرم طلا]]/F50</f>
        <v>2.4285714285714285E-2</v>
      </c>
      <c r="E55" s="6"/>
      <c r="F55" s="44">
        <v>1.7E-6</v>
      </c>
      <c r="G55" s="45">
        <f>Table1[[#This Row],[گرم طلا]]*$M$8</f>
        <v>1.942857142857143E-5</v>
      </c>
      <c r="J55" s="24">
        <v>1.8</v>
      </c>
    </row>
    <row r="56" spans="1:10" x14ac:dyDescent="0.65">
      <c r="A56" s="4" t="s">
        <v>21</v>
      </c>
      <c r="B56" s="4">
        <v>1358</v>
      </c>
      <c r="C56" s="4" t="s">
        <v>67</v>
      </c>
      <c r="D56" s="17">
        <f>50*D8</f>
        <v>50</v>
      </c>
      <c r="E56" s="6"/>
      <c r="F56" s="32">
        <f>Table1[[#This Row],[گرم
نقره]]*$M$9</f>
        <v>9.160156249999999E-3</v>
      </c>
      <c r="G56" s="42">
        <f>Table1[[#This Row],[گرم
برنز]]*$M$13</f>
        <v>0.1046875</v>
      </c>
      <c r="H56" s="25">
        <v>2.5</v>
      </c>
      <c r="J56" s="27"/>
    </row>
    <row r="57" spans="1:10" x14ac:dyDescent="0.65">
      <c r="A57" s="4" t="s">
        <v>21</v>
      </c>
      <c r="B57" s="4">
        <v>1358</v>
      </c>
      <c r="C57" s="4" t="s">
        <v>14</v>
      </c>
      <c r="D57" s="19">
        <f>D50*Table1[[#This Row],[گرم طلا]]/F50</f>
        <v>8.0000000000000002E-3</v>
      </c>
      <c r="E57" s="6"/>
      <c r="F57" s="44">
        <v>5.6000000000000004E-7</v>
      </c>
      <c r="G57" s="46">
        <f>Table1[[#This Row],[گرم طلا]]*$M$8</f>
        <v>6.4000000000000006E-6</v>
      </c>
      <c r="J57" s="24">
        <v>1.75</v>
      </c>
    </row>
    <row r="58" spans="1:10" x14ac:dyDescent="0.65">
      <c r="A58" s="4" t="s">
        <v>21</v>
      </c>
      <c r="B58" s="4">
        <v>1396</v>
      </c>
      <c r="C58" s="4" t="s">
        <v>68</v>
      </c>
      <c r="D58" s="52">
        <f>Table1[[#This Row],[گرم
نقره]]/$G$8</f>
        <v>0.126984126984127</v>
      </c>
      <c r="E58" s="6"/>
      <c r="F58" s="33">
        <f>Table1[[#This Row],[گرم نیکل]]*$M$12</f>
        <v>0.05</v>
      </c>
      <c r="G58" s="41">
        <f>Table1[[#This Row],[گرم طلا]]*$M$8</f>
        <v>0.57142857142857151</v>
      </c>
      <c r="J58" s="24">
        <v>10</v>
      </c>
    </row>
    <row r="59" spans="1:10" x14ac:dyDescent="0.65">
      <c r="A59" s="4" t="s">
        <v>21</v>
      </c>
      <c r="B59" s="4">
        <v>1401</v>
      </c>
      <c r="C59" s="4" t="s">
        <v>14</v>
      </c>
      <c r="D59" s="20">
        <f>D50*Table1[[#This Row],[گرم طلا]]/F50</f>
        <v>8.5714285714285699E-4</v>
      </c>
      <c r="E59" s="6" t="s">
        <v>29</v>
      </c>
      <c r="F59" s="44">
        <v>5.9999999999999995E-8</v>
      </c>
      <c r="G59" s="47">
        <f>Table1[[#This Row],[گرم طلا]]*$M$8</f>
        <v>6.8571428571428562E-7</v>
      </c>
    </row>
    <row r="60" spans="1:10" x14ac:dyDescent="0.65">
      <c r="A60" s="4" t="s">
        <v>21</v>
      </c>
      <c r="B60" s="4">
        <v>1401</v>
      </c>
      <c r="C60" s="4" t="s">
        <v>69</v>
      </c>
      <c r="D60" s="52">
        <f>Table1[[#This Row],[گرم
نقره]]/$G$8</f>
        <v>20.647619047619049</v>
      </c>
      <c r="E60" s="6"/>
      <c r="F60" s="24">
        <v>8.1300000000000008</v>
      </c>
      <c r="G60" s="41">
        <f>Table1[[#This Row],[گرم طلا]]*$M$8</f>
        <v>92.914285714285725</v>
      </c>
    </row>
  </sheetData>
  <phoneticPr fontId="3" type="noConversion"/>
  <pageMargins left="0.7" right="0.7" top="0.75" bottom="0.75" header="0.3" footer="0.3"/>
  <pageSetup paperSize="9" orientation="portrait" horizontalDpi="0" verticalDpi="0" r:id="rId1"/>
  <ignoredErrors>
    <ignoredError sqref="F31:G31 D31 D59" formula="1"/>
  </ignoredErrors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Sheet1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Tent</dc:creator>
  <cp:lastModifiedBy>Tent</cp:lastModifiedBy>
  <dcterms:created xsi:type="dcterms:W3CDTF">2022-03-28T12:14:40Z</dcterms:created>
  <dcterms:modified xsi:type="dcterms:W3CDTF">2022-04-14T11:55:39Z</dcterms:modified>
</cp:coreProperties>
</file>